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2026\ТО и экспл трамв линии контактной сети тяговой подстанции дизель генераторной установки и трамвая на терр К\"/>
    </mc:Choice>
  </mc:AlternateContent>
  <xr:revisionPtr revIDLastSave="0" documentId="13_ncr:1_{63C1B372-EFBD-4706-8E29-B1B7058EB430}" xr6:coauthVersionLast="45" xr6:coauthVersionMax="47" xr10:uidLastSave="{00000000-0000-0000-0000-000000000000}"/>
  <bookViews>
    <workbookView xWindow="-28036" yWindow="-3415" windowWidth="28145" windowHeight="15219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Print_Area" localSheetId="0">'Расчет НМЦД'!$A$1:$K$49</definedName>
    <definedName name="мил">{0,"овz";1,"z";2,"аz";5,"овz"}</definedName>
    <definedName name="НДС">#REF!</definedName>
    <definedName name="НМЦК">#REF!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4" i="2" l="1"/>
  <c r="K19" i="2"/>
  <c r="I39" i="2"/>
  <c r="I34" i="2"/>
  <c r="K34" i="2" s="1"/>
  <c r="I29" i="2"/>
  <c r="I24" i="2"/>
  <c r="K29" i="2"/>
  <c r="K24" i="2"/>
  <c r="I19" i="2"/>
  <c r="I14" i="2"/>
  <c r="H24" i="2"/>
  <c r="H14" i="2"/>
  <c r="H34" i="2"/>
  <c r="E12" i="2" l="1"/>
  <c r="F37" i="2" l="1"/>
  <c r="E37" i="2"/>
  <c r="D37" i="2"/>
  <c r="F32" i="2"/>
  <c r="E32" i="2"/>
  <c r="D32" i="2"/>
  <c r="F27" i="2"/>
  <c r="E27" i="2"/>
  <c r="D27" i="2"/>
  <c r="F22" i="2"/>
  <c r="E22" i="2"/>
  <c r="D22" i="2"/>
  <c r="F17" i="2"/>
  <c r="E17" i="2"/>
  <c r="D17" i="2"/>
  <c r="F12" i="2"/>
  <c r="D12" i="2"/>
  <c r="F36" i="2" l="1"/>
  <c r="F26" i="2"/>
  <c r="F16" i="2"/>
  <c r="F31" i="2"/>
  <c r="F21" i="2"/>
  <c r="F11" i="2"/>
  <c r="E36" i="2"/>
  <c r="E11" i="2"/>
  <c r="D11" i="2"/>
  <c r="D36" i="2"/>
  <c r="D31" i="2"/>
  <c r="D21" i="2"/>
  <c r="D26" i="2"/>
  <c r="D16" i="2"/>
  <c r="H39" i="2" l="1"/>
  <c r="E26" i="2"/>
  <c r="H19" i="2"/>
  <c r="E21" i="2"/>
  <c r="E16" i="2"/>
  <c r="I11" i="2"/>
  <c r="E31" i="2"/>
  <c r="G29" i="2"/>
  <c r="H29" i="2"/>
  <c r="G19" i="2"/>
  <c r="G14" i="2" l="1"/>
  <c r="I26" i="2"/>
  <c r="I27" i="2" s="1"/>
  <c r="I31" i="2"/>
  <c r="I32" i="2" s="1"/>
  <c r="G34" i="2"/>
  <c r="I21" i="2"/>
  <c r="I22" i="2" s="1"/>
  <c r="I16" i="2"/>
  <c r="I17" i="2" s="1"/>
  <c r="G24" i="2"/>
  <c r="I36" i="2"/>
  <c r="I37" i="2" s="1"/>
  <c r="K39" i="2"/>
  <c r="K37" i="2" s="1"/>
  <c r="G39" i="2"/>
  <c r="K22" i="2"/>
  <c r="K12" i="2" l="1"/>
  <c r="K11" i="2" s="1"/>
  <c r="K44" i="2"/>
  <c r="K42" i="2" s="1"/>
  <c r="K27" i="2"/>
  <c r="K26" i="2" s="1"/>
  <c r="K17" i="2"/>
  <c r="K16" i="2" s="1"/>
  <c r="K32" i="2"/>
  <c r="K31" i="2" s="1"/>
  <c r="K21" i="2"/>
  <c r="K36" i="2"/>
  <c r="K41" i="2" l="1"/>
  <c r="I12" i="2"/>
</calcChain>
</file>

<file path=xl/sharedStrings.xml><?xml version="1.0" encoding="utf-8"?>
<sst xmlns="http://schemas.openxmlformats.org/spreadsheetml/2006/main" count="220" uniqueCount="45">
  <si>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</si>
  <si>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</si>
  <si>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</si>
  <si>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</si>
  <si>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</si>
  <si>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</si>
  <si>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</si>
  <si>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</si>
  <si>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Цена за единицу работы, услуги без учета налога на добавленную стоимость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</si>
  <si>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</si>
  <si>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</si>
  <si>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</si>
  <si>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</si>
  <si>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</si>
  <si>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Количество работ, услуг</t>
  </si>
  <si>
    <t>Стоимость работ, услуг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</si>
  <si>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</si>
  <si>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</si>
  <si>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</si>
  <si>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Цена за единицу работы, услуги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</si>
  <si>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</si>
  <si>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</si>
  <si>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</si>
  <si>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</si>
  <si>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</si>
  <si>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Способ определения поставщика (подрядчика, исполнителя) - Запрос предложений</t>
  </si>
  <si>
    <t>Техническое обслуживание и эксплуатация трамвайной линии, контактной сети, тяговой подстанции, ДГУ и трамвая.</t>
  </si>
  <si>
    <t>1 месяц</t>
  </si>
  <si>
    <t>1 час</t>
  </si>
  <si>
    <t>Обеспечение дизельным топливом, включая доставку на объект и заправку дизель-генераторной установки</t>
  </si>
  <si>
    <t>Обслуживание сетей электроснабжения, проведение оперативных переключений</t>
  </si>
  <si>
    <t>Рабочий день (12 часов)</t>
  </si>
  <si>
    <t>Вертикальная и горизонтальная корректировка</t>
  </si>
  <si>
    <t>Измерение</t>
  </si>
  <si>
    <t>Пусконаладочные работы ДГУ</t>
  </si>
  <si>
    <t>Услуга</t>
  </si>
  <si>
    <t>Проверка заземления</t>
  </si>
  <si>
    <t>1 контур</t>
  </si>
  <si>
    <t>31.12.2026</t>
  </si>
  <si>
    <t>Главный инженер</t>
  </si>
  <si>
    <t>Р.И. Чернышев</t>
  </si>
  <si>
    <t>22%</t>
  </si>
  <si>
    <t>Расчет начальной (максимальной) цены договора 
на оказание услуг по техническому обслуживанию и эксплуатации трамвайной линии, контактной сети, тяговой подстанции, дизель-генераторной установки и трамвая на территории Кинопарка</t>
  </si>
  <si>
    <t xml:space="preserve">Дата составления таблицы "16" января 2026 г.                                                                                                                 </t>
  </si>
  <si>
    <t>Максимальная (предельная) цена договора Договора составляет: 5 214 400 (Пять миллионов двести четырнадцать тысяч четыреста) рублей 00 копеек, в том числе НДС 22% в размере 940 301 (Девятьсот сорок тысяч триста один) рубль 64 копейки.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</si>
</sst>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6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3" fillId="0" borderId="0"/>
    <xf numFmtId="0" fontId="3" fillId="0" borderId="0"/>
    <xf numFmtId="0" fontId="8" fillId="0" borderId="0"/>
    <xf numFmtId="0" fontId="2" fillId="0" borderId="0"/>
  </cellStyleXfs>
  <cellXfs count="76">
    <xf numFmtId="0" fontId="0" fillId="0" borderId="0" xfId="0"/>
    <xf numFmtId="0" fontId="4" fillId="0" borderId="0" xfId="0" applyFont="1" applyFill="1"/>
    <xf numFmtId="0" fontId="4" fillId="0" borderId="0" xfId="0" applyFont="1" applyFill="1" applyBorder="1"/>
    <xf numFmtId="0" fontId="11" fillId="0" borderId="7" xfId="0" applyFont="1" applyFill="1" applyBorder="1" applyAlignment="1">
      <alignment vertical="center" wrapText="1"/>
    </xf>
    <xf numFmtId="4" fontId="14" fillId="0" borderId="7" xfId="4" applyNumberFormat="1" applyFont="1" applyFill="1" applyBorder="1" applyAlignment="1">
      <alignment horizontal="center" vertical="center"/>
    </xf>
    <xf numFmtId="165" fontId="11" fillId="0" borderId="7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0" xfId="6" applyFont="1" applyFill="1"/>
    <xf numFmtId="0" fontId="10" fillId="0" borderId="0" xfId="0" applyFont="1" applyFill="1" applyAlignment="1">
      <alignment vertical="top" wrapText="1"/>
    </xf>
    <xf numFmtId="0" fontId="5" fillId="0" borderId="0" xfId="0" applyFont="1" applyFill="1"/>
    <xf numFmtId="0" fontId="4" fillId="0" borderId="0" xfId="0" applyFont="1" applyFill="1" applyAlignment="1">
      <alignment horizontal="center"/>
    </xf>
    <xf numFmtId="165" fontId="10" fillId="2" borderId="7" xfId="0" applyNumberFormat="1" applyFont="1" applyFill="1" applyBorder="1" applyAlignment="1">
      <alignment horizontal="center" vertical="center" wrapText="1"/>
    </xf>
    <xf numFmtId="10" fontId="15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5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1" fillId="0" borderId="5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2" fontId="15" fillId="0" borderId="7" xfId="0" applyNumberFormat="1" applyFont="1" applyFill="1" applyBorder="1" applyAlignment="1">
      <alignment horizontal="center" vertical="center" wrapText="1"/>
    </xf>
    <xf numFmtId="14" fontId="10" fillId="0" borderId="7" xfId="0" applyNumberFormat="1" applyFont="1" applyFill="1" applyBorder="1" applyAlignment="1">
      <alignment horizontal="center" vertical="center"/>
    </xf>
    <xf numFmtId="49" fontId="10" fillId="0" borderId="7" xfId="7" applyNumberFormat="1" applyFont="1" applyFill="1" applyBorder="1" applyAlignment="1">
      <alignment horizontal="center" vertical="center"/>
    </xf>
    <xf numFmtId="4" fontId="10" fillId="2" borderId="7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/>
    <xf numFmtId="9" fontId="10" fillId="0" borderId="7" xfId="0" applyNumberFormat="1" applyFont="1" applyFill="1" applyBorder="1" applyAlignment="1">
      <alignment horizontal="center" vertical="center" wrapText="1"/>
    </xf>
    <xf numFmtId="4" fontId="10" fillId="0" borderId="7" xfId="4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4" fontId="10" fillId="0" borderId="7" xfId="7" applyNumberFormat="1" applyFont="1" applyFill="1" applyBorder="1" applyAlignment="1">
      <alignment horizontal="center" vertical="center" wrapText="1" shrinkToFi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1" fontId="14" fillId="0" borderId="2" xfId="4" applyNumberFormat="1" applyFont="1" applyFill="1" applyBorder="1" applyAlignment="1">
      <alignment horizontal="center" vertical="center" wrapText="1"/>
    </xf>
    <xf numFmtId="1" fontId="14" fillId="0" borderId="4" xfId="4" applyNumberFormat="1" applyFont="1" applyFill="1" applyBorder="1" applyAlignment="1">
      <alignment horizontal="center" vertical="center" wrapText="1"/>
    </xf>
    <xf numFmtId="1" fontId="14" fillId="0" borderId="6" xfId="4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166" fontId="10" fillId="0" borderId="0" xfId="6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wrapText="1"/>
    </xf>
    <xf numFmtId="10" fontId="15" fillId="0" borderId="2" xfId="0" applyNumberFormat="1" applyFont="1" applyFill="1" applyBorder="1" applyAlignment="1">
      <alignment horizontal="center" vertical="center" wrapText="1"/>
    </xf>
    <xf numFmtId="10" fontId="15" fillId="0" borderId="4" xfId="0" applyNumberFormat="1" applyFont="1" applyFill="1" applyBorder="1" applyAlignment="1">
      <alignment horizontal="center" vertical="center" wrapText="1"/>
    </xf>
    <xf numFmtId="10" fontId="15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51"/>
  <sheetViews>
    <sheetView tabSelected="1" topLeftCell="A37" zoomScale="70" zoomScaleNormal="70" zoomScaleSheetLayoutView="80" workbookViewId="0">
      <selection activeCell="A48" sqref="A48:G48"/>
    </sheetView>
  </sheetViews>
  <sheetFormatPr defaultColWidth="9.19921875" defaultRowHeight="15.3" x14ac:dyDescent="0.3"/>
  <cols>
    <col min="1" max="1" width="35.5" style="1" customWidth="1"/>
    <col min="2" max="2" width="32.5" style="1" customWidth="1"/>
    <col min="3" max="3" width="15.796875" style="1" customWidth="1"/>
    <col min="4" max="4" width="20.296875" style="1" customWidth="1"/>
    <col min="5" max="5" width="20.5" style="1" customWidth="1"/>
    <col min="6" max="6" width="21.796875" style="1" customWidth="1"/>
    <col min="7" max="7" width="22.5" style="1" customWidth="1"/>
    <col min="8" max="8" width="34.796875" style="1" customWidth="1"/>
    <col min="9" max="9" width="19.19921875" style="14" customWidth="1"/>
    <col min="10" max="10" width="14.296875" style="1" customWidth="1"/>
    <col min="11" max="11" width="20.296875" style="1" customWidth="1"/>
    <col min="12" max="13" width="9.19921875" style="1"/>
    <col min="14" max="14" width="9.19921875" style="1" customWidth="1"/>
    <col min="15" max="16384" width="9.19921875" style="1"/>
  </cols>
  <sheetData>
    <row r="1" spans="1:11" ht="24.95" customHeight="1" x14ac:dyDescent="0.3">
      <c r="G1" s="54" t="s">
        <v>23</v>
      </c>
      <c r="H1" s="54"/>
      <c r="I1" s="54"/>
      <c r="J1" s="54"/>
      <c r="K1" s="54"/>
    </row>
    <row r="2" spans="1:11" ht="68.45" customHeight="1" x14ac:dyDescent="0.3">
      <c r="A2" s="55" t="s">
        <v>42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5" hidden="1" customHeight="1" x14ac:dyDescent="0.3">
      <c r="A3" s="56"/>
      <c r="B3" s="56"/>
      <c r="C3" s="56"/>
      <c r="D3" s="56"/>
      <c r="E3" s="56"/>
      <c r="F3" s="56"/>
      <c r="G3" s="56"/>
      <c r="H3" s="56"/>
      <c r="I3" s="57"/>
      <c r="J3" s="56"/>
      <c r="K3" s="56"/>
    </row>
    <row r="4" spans="1:11" ht="25.5" customHeight="1" x14ac:dyDescent="0.3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1" ht="51" customHeight="1" x14ac:dyDescent="0.3">
      <c r="A5" s="2"/>
      <c r="B5" s="2"/>
      <c r="C5" s="2"/>
      <c r="D5" s="2"/>
      <c r="E5" s="2"/>
      <c r="F5" s="2"/>
      <c r="G5" s="72" t="s">
        <v>25</v>
      </c>
      <c r="H5" s="72"/>
      <c r="I5" s="72"/>
      <c r="J5" s="72"/>
      <c r="K5" s="72"/>
    </row>
    <row r="6" spans="1:11" ht="37.5" customHeight="1" x14ac:dyDescent="0.3">
      <c r="A6" s="32" t="s">
        <v>7</v>
      </c>
      <c r="B6" s="32" t="s">
        <v>0</v>
      </c>
      <c r="C6" s="32" t="s">
        <v>1</v>
      </c>
      <c r="D6" s="65" t="s">
        <v>16</v>
      </c>
      <c r="E6" s="66"/>
      <c r="F6" s="67"/>
      <c r="G6" s="68" t="s">
        <v>10</v>
      </c>
      <c r="H6" s="69"/>
      <c r="I6" s="10" t="s">
        <v>16</v>
      </c>
      <c r="J6" s="32" t="s">
        <v>14</v>
      </c>
      <c r="K6" s="32" t="s">
        <v>15</v>
      </c>
    </row>
    <row r="7" spans="1:11" ht="15.95" customHeight="1" x14ac:dyDescent="0.3">
      <c r="A7" s="33"/>
      <c r="B7" s="33"/>
      <c r="C7" s="33"/>
      <c r="D7" s="59" t="s">
        <v>2</v>
      </c>
      <c r="E7" s="60"/>
      <c r="F7" s="61"/>
      <c r="G7" s="70"/>
      <c r="H7" s="71"/>
      <c r="I7" s="73" t="s">
        <v>4</v>
      </c>
      <c r="J7" s="33"/>
      <c r="K7" s="33"/>
    </row>
    <row r="8" spans="1:11" ht="32.450000000000003" customHeight="1" x14ac:dyDescent="0.3">
      <c r="A8" s="33"/>
      <c r="B8" s="33"/>
      <c r="C8" s="33"/>
      <c r="D8" s="62"/>
      <c r="E8" s="63"/>
      <c r="F8" s="64"/>
      <c r="G8" s="44" t="s">
        <v>3</v>
      </c>
      <c r="H8" s="32" t="s">
        <v>24</v>
      </c>
      <c r="I8" s="74"/>
      <c r="J8" s="33"/>
      <c r="K8" s="33"/>
    </row>
    <row r="9" spans="1:11" ht="24" customHeight="1" x14ac:dyDescent="0.3">
      <c r="A9" s="34"/>
      <c r="B9" s="34"/>
      <c r="C9" s="34"/>
      <c r="D9" s="17" t="s">
        <v>20</v>
      </c>
      <c r="E9" s="17" t="s">
        <v>21</v>
      </c>
      <c r="F9" s="17" t="s">
        <v>22</v>
      </c>
      <c r="G9" s="45"/>
      <c r="H9" s="34"/>
      <c r="I9" s="75"/>
      <c r="J9" s="34"/>
      <c r="K9" s="34"/>
    </row>
    <row r="10" spans="1:11" ht="18" x14ac:dyDescent="0.3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7">
        <v>9</v>
      </c>
      <c r="J10" s="17">
        <v>10</v>
      </c>
      <c r="K10" s="18">
        <v>11</v>
      </c>
    </row>
    <row r="11" spans="1:11" ht="54" x14ac:dyDescent="0.3">
      <c r="A11" s="3" t="s">
        <v>8</v>
      </c>
      <c r="B11" s="41" t="s">
        <v>26</v>
      </c>
      <c r="C11" s="32" t="s">
        <v>27</v>
      </c>
      <c r="D11" s="4">
        <f>D14-D12</f>
        <v>47540.983606557376</v>
      </c>
      <c r="E11" s="4">
        <f>E14-E12</f>
        <v>40163.934426229505</v>
      </c>
      <c r="F11" s="4">
        <f>F14-F12</f>
        <v>45901.639344262294</v>
      </c>
      <c r="G11" s="16" t="s">
        <v>12</v>
      </c>
      <c r="H11" s="16" t="s">
        <v>12</v>
      </c>
      <c r="I11" s="5">
        <f>ROUND((D11+E11+F11)/3,2)</f>
        <v>44535.519999999997</v>
      </c>
      <c r="J11" s="19" t="s">
        <v>12</v>
      </c>
      <c r="K11" s="4">
        <f>K14-K12</f>
        <v>534426.2295081967</v>
      </c>
    </row>
    <row r="12" spans="1:11" ht="54" x14ac:dyDescent="0.3">
      <c r="A12" s="3" t="s">
        <v>9</v>
      </c>
      <c r="B12" s="42"/>
      <c r="C12" s="33"/>
      <c r="D12" s="6">
        <f>D14*D13/(100%+D13)</f>
        <v>10459.016393442624</v>
      </c>
      <c r="E12" s="6">
        <f>E14*E13/(100%+E13)</f>
        <v>8836.0655737704928</v>
      </c>
      <c r="F12" s="6">
        <f>F14*F13/(100%+F13)</f>
        <v>10098.360655737704</v>
      </c>
      <c r="G12" s="16" t="s">
        <v>12</v>
      </c>
      <c r="H12" s="16" t="s">
        <v>12</v>
      </c>
      <c r="I12" s="7">
        <f>I14-I11</f>
        <v>9797.813333333339</v>
      </c>
      <c r="J12" s="16" t="s">
        <v>12</v>
      </c>
      <c r="K12" s="6">
        <f>K14-K14/(100%+K13)</f>
        <v>117573.7704918033</v>
      </c>
    </row>
    <row r="13" spans="1:11" ht="36" x14ac:dyDescent="0.3">
      <c r="A13" s="3" t="s">
        <v>11</v>
      </c>
      <c r="B13" s="42"/>
      <c r="C13" s="33"/>
      <c r="D13" s="28">
        <v>0.22</v>
      </c>
      <c r="E13" s="28">
        <v>0.22</v>
      </c>
      <c r="F13" s="28">
        <v>0.22</v>
      </c>
      <c r="G13" s="16" t="s">
        <v>12</v>
      </c>
      <c r="H13" s="16" t="s">
        <v>12</v>
      </c>
      <c r="I13" s="16" t="s">
        <v>12</v>
      </c>
      <c r="J13" s="16" t="s">
        <v>12</v>
      </c>
      <c r="K13" s="8" t="s">
        <v>41</v>
      </c>
    </row>
    <row r="14" spans="1:11" ht="54" x14ac:dyDescent="0.3">
      <c r="A14" s="3" t="s">
        <v>19</v>
      </c>
      <c r="B14" s="43"/>
      <c r="C14" s="34"/>
      <c r="D14" s="31">
        <v>58000</v>
      </c>
      <c r="E14" s="31">
        <v>49000</v>
      </c>
      <c r="F14" s="31">
        <v>56000</v>
      </c>
      <c r="G14" s="9">
        <f>_xlfn.STDEV.S(D14,E14,F14)/I14*100</f>
        <v>8.6978201710170691</v>
      </c>
      <c r="H14" s="15">
        <f>(MAX(D14:F14)*100/MIN(D14:F14))-100</f>
        <v>18.367346938775512</v>
      </c>
      <c r="I14" s="7">
        <f>((D14+E14+F14)/3)</f>
        <v>54333.333333333336</v>
      </c>
      <c r="J14" s="23">
        <v>12</v>
      </c>
      <c r="K14" s="6">
        <f>I14*D15*J14</f>
        <v>652000</v>
      </c>
    </row>
    <row r="15" spans="1:11" ht="18" x14ac:dyDescent="0.3">
      <c r="A15" s="3" t="s">
        <v>17</v>
      </c>
      <c r="B15" s="16"/>
      <c r="C15" s="16"/>
      <c r="D15" s="38">
        <v>1</v>
      </c>
      <c r="E15" s="39"/>
      <c r="F15" s="40"/>
      <c r="G15" s="16" t="s">
        <v>12</v>
      </c>
      <c r="H15" s="16" t="s">
        <v>12</v>
      </c>
      <c r="I15" s="16" t="s">
        <v>12</v>
      </c>
      <c r="J15" s="16" t="s">
        <v>12</v>
      </c>
      <c r="K15" s="16" t="s">
        <v>12</v>
      </c>
    </row>
    <row r="16" spans="1:11" ht="54" x14ac:dyDescent="0.3">
      <c r="A16" s="3" t="s">
        <v>8</v>
      </c>
      <c r="B16" s="51" t="s">
        <v>29</v>
      </c>
      <c r="C16" s="32" t="s">
        <v>28</v>
      </c>
      <c r="D16" s="29">
        <f>D19-D17</f>
        <v>17540.983606557376</v>
      </c>
      <c r="E16" s="29">
        <f>E19-E17</f>
        <v>19016.39344262295</v>
      </c>
      <c r="F16" s="29">
        <f>F19-F17</f>
        <v>16721.311475409835</v>
      </c>
      <c r="G16" s="16" t="s">
        <v>12</v>
      </c>
      <c r="H16" s="16" t="s">
        <v>12</v>
      </c>
      <c r="I16" s="5">
        <f>ROUND((D16+E16+F16)/3,2)</f>
        <v>17759.560000000001</v>
      </c>
      <c r="J16" s="19" t="s">
        <v>12</v>
      </c>
      <c r="K16" s="4">
        <f>K19-K17</f>
        <v>2557377.0491803279</v>
      </c>
    </row>
    <row r="17" spans="1:11" ht="54" x14ac:dyDescent="0.3">
      <c r="A17" s="3" t="s">
        <v>9</v>
      </c>
      <c r="B17" s="52"/>
      <c r="C17" s="33"/>
      <c r="D17" s="30">
        <f t="shared" ref="D17:F17" si="0">D19*D18/(100%+D18)</f>
        <v>3859.0163934426232</v>
      </c>
      <c r="E17" s="30">
        <f t="shared" si="0"/>
        <v>4183.6065573770493</v>
      </c>
      <c r="F17" s="30">
        <f t="shared" si="0"/>
        <v>3678.688524590164</v>
      </c>
      <c r="G17" s="16" t="s">
        <v>12</v>
      </c>
      <c r="H17" s="16" t="s">
        <v>12</v>
      </c>
      <c r="I17" s="7">
        <f>I19-I16</f>
        <v>3907.1066666666666</v>
      </c>
      <c r="J17" s="16" t="s">
        <v>12</v>
      </c>
      <c r="K17" s="6">
        <f>K19-K19/(100%+K18)</f>
        <v>562622.95081967209</v>
      </c>
    </row>
    <row r="18" spans="1:11" ht="36" x14ac:dyDescent="0.3">
      <c r="A18" s="3" t="s">
        <v>11</v>
      </c>
      <c r="B18" s="52"/>
      <c r="C18" s="33"/>
      <c r="D18" s="28">
        <v>0.22</v>
      </c>
      <c r="E18" s="28">
        <v>0.22</v>
      </c>
      <c r="F18" s="28">
        <v>0.22</v>
      </c>
      <c r="G18" s="16" t="s">
        <v>12</v>
      </c>
      <c r="H18" s="16" t="s">
        <v>12</v>
      </c>
      <c r="I18" s="16" t="s">
        <v>12</v>
      </c>
      <c r="J18" s="16" t="s">
        <v>12</v>
      </c>
      <c r="K18" s="8" t="s">
        <v>41</v>
      </c>
    </row>
    <row r="19" spans="1:11" ht="54" x14ac:dyDescent="0.3">
      <c r="A19" s="3" t="s">
        <v>19</v>
      </c>
      <c r="B19" s="53"/>
      <c r="C19" s="34"/>
      <c r="D19" s="31">
        <v>21400</v>
      </c>
      <c r="E19" s="31">
        <v>23200</v>
      </c>
      <c r="F19" s="31">
        <v>20400</v>
      </c>
      <c r="G19" s="9">
        <f>_xlfn.STDEV.S(D19,E19,F19)/I19*100</f>
        <v>6.5488605088593115</v>
      </c>
      <c r="H19" s="15">
        <f>(MAX(D19:F19)*100/MIN(D19:F19))-100</f>
        <v>13.725490196078425</v>
      </c>
      <c r="I19" s="7">
        <f>(D19+E19+F19)/3</f>
        <v>21666.666666666668</v>
      </c>
      <c r="J19" s="23">
        <v>144</v>
      </c>
      <c r="K19" s="6">
        <f>I19*D20*J19</f>
        <v>3120000</v>
      </c>
    </row>
    <row r="20" spans="1:11" ht="18" x14ac:dyDescent="0.3">
      <c r="A20" s="3" t="s">
        <v>17</v>
      </c>
      <c r="B20" s="16"/>
      <c r="C20" s="16"/>
      <c r="D20" s="38">
        <v>1</v>
      </c>
      <c r="E20" s="39"/>
      <c r="F20" s="40"/>
      <c r="G20" s="16" t="s">
        <v>12</v>
      </c>
      <c r="H20" s="16" t="s">
        <v>12</v>
      </c>
      <c r="I20" s="16" t="s">
        <v>12</v>
      </c>
      <c r="J20" s="16" t="s">
        <v>12</v>
      </c>
      <c r="K20" s="16" t="s">
        <v>12</v>
      </c>
    </row>
    <row r="21" spans="1:11" ht="54" x14ac:dyDescent="0.3">
      <c r="A21" s="3" t="s">
        <v>8</v>
      </c>
      <c r="B21" s="51" t="s">
        <v>30</v>
      </c>
      <c r="C21" s="32" t="s">
        <v>31</v>
      </c>
      <c r="D21" s="29">
        <f>D24-D22</f>
        <v>57377.049180327871</v>
      </c>
      <c r="E21" s="29">
        <f>E24-E22</f>
        <v>46885.24590163934</v>
      </c>
      <c r="F21" s="29">
        <f>F24-F22</f>
        <v>54180.327868852459</v>
      </c>
      <c r="G21" s="16" t="s">
        <v>12</v>
      </c>
      <c r="H21" s="16" t="s">
        <v>12</v>
      </c>
      <c r="I21" s="5">
        <f>ROUND((D21+E21+F21)/3,2)</f>
        <v>52814.21</v>
      </c>
      <c r="J21" s="19" t="s">
        <v>12</v>
      </c>
      <c r="K21" s="4">
        <f>K24-K22</f>
        <v>633770.49180327868</v>
      </c>
    </row>
    <row r="22" spans="1:11" ht="54" x14ac:dyDescent="0.3">
      <c r="A22" s="3" t="s">
        <v>9</v>
      </c>
      <c r="B22" s="52"/>
      <c r="C22" s="33"/>
      <c r="D22" s="30">
        <f t="shared" ref="D22:F22" si="1">D24*D23/(100%+D23)</f>
        <v>12622.950819672131</v>
      </c>
      <c r="E22" s="30">
        <f t="shared" si="1"/>
        <v>10314.754098360656</v>
      </c>
      <c r="F22" s="30">
        <f t="shared" si="1"/>
        <v>11919.672131147541</v>
      </c>
      <c r="G22" s="16" t="s">
        <v>12</v>
      </c>
      <c r="H22" s="16" t="s">
        <v>12</v>
      </c>
      <c r="I22" s="7">
        <f>I24-I21</f>
        <v>11619.123333333337</v>
      </c>
      <c r="J22" s="16" t="s">
        <v>12</v>
      </c>
      <c r="K22" s="6">
        <f>K24-K24/(100%+K23)</f>
        <v>139429.50819672132</v>
      </c>
    </row>
    <row r="23" spans="1:11" ht="36" x14ac:dyDescent="0.3">
      <c r="A23" s="3" t="s">
        <v>11</v>
      </c>
      <c r="B23" s="52"/>
      <c r="C23" s="33"/>
      <c r="D23" s="28">
        <v>0.22</v>
      </c>
      <c r="E23" s="28">
        <v>0.22</v>
      </c>
      <c r="F23" s="28">
        <v>0.22</v>
      </c>
      <c r="G23" s="16" t="s">
        <v>12</v>
      </c>
      <c r="H23" s="16" t="s">
        <v>12</v>
      </c>
      <c r="I23" s="16" t="s">
        <v>12</v>
      </c>
      <c r="J23" s="16" t="s">
        <v>12</v>
      </c>
      <c r="K23" s="8" t="s">
        <v>41</v>
      </c>
    </row>
    <row r="24" spans="1:11" ht="54" x14ac:dyDescent="0.3">
      <c r="A24" s="3" t="s">
        <v>19</v>
      </c>
      <c r="B24" s="53"/>
      <c r="C24" s="34"/>
      <c r="D24" s="31">
        <v>70000</v>
      </c>
      <c r="E24" s="31">
        <v>57200</v>
      </c>
      <c r="F24" s="31">
        <v>66100</v>
      </c>
      <c r="G24" s="9">
        <f>_xlfn.STDEV.S(D24,E24,F24)/I24*100</f>
        <v>10.182217011858926</v>
      </c>
      <c r="H24" s="15">
        <f>(MAX(D24:F24)*100/MIN(D24:F24))-100</f>
        <v>22.377622377622373</v>
      </c>
      <c r="I24" s="7">
        <f>(D24+E24+F24)/3</f>
        <v>64433.333333333336</v>
      </c>
      <c r="J24" s="23">
        <v>12</v>
      </c>
      <c r="K24" s="6">
        <f>I24*D25*J24</f>
        <v>773200</v>
      </c>
    </row>
    <row r="25" spans="1:11" ht="18" x14ac:dyDescent="0.3">
      <c r="A25" s="3" t="s">
        <v>17</v>
      </c>
      <c r="B25" s="16"/>
      <c r="C25" s="16"/>
      <c r="D25" s="38">
        <v>1</v>
      </c>
      <c r="E25" s="39"/>
      <c r="F25" s="40"/>
      <c r="G25" s="16" t="s">
        <v>12</v>
      </c>
      <c r="H25" s="16" t="s">
        <v>12</v>
      </c>
      <c r="I25" s="16" t="s">
        <v>12</v>
      </c>
      <c r="J25" s="16" t="s">
        <v>12</v>
      </c>
      <c r="K25" s="16" t="s">
        <v>12</v>
      </c>
    </row>
    <row r="26" spans="1:11" ht="54" x14ac:dyDescent="0.3">
      <c r="A26" s="3" t="s">
        <v>8</v>
      </c>
      <c r="B26" s="41" t="s">
        <v>32</v>
      </c>
      <c r="C26" s="32" t="s">
        <v>33</v>
      </c>
      <c r="D26" s="29">
        <f>D29-D27</f>
        <v>36885.24590163934</v>
      </c>
      <c r="E26" s="29">
        <f t="shared" ref="E26" si="2">E29-E27</f>
        <v>30000</v>
      </c>
      <c r="F26" s="29">
        <f>F29-F27</f>
        <v>35000</v>
      </c>
      <c r="G26" s="16" t="s">
        <v>12</v>
      </c>
      <c r="H26" s="16" t="s">
        <v>12</v>
      </c>
      <c r="I26" s="5">
        <f>ROUND((D26+E26+F26)/3,2)</f>
        <v>33961.75</v>
      </c>
      <c r="J26" s="19" t="s">
        <v>12</v>
      </c>
      <c r="K26" s="4">
        <f>K29-K27</f>
        <v>407540.98360655736</v>
      </c>
    </row>
    <row r="27" spans="1:11" ht="54" x14ac:dyDescent="0.3">
      <c r="A27" s="3" t="s">
        <v>9</v>
      </c>
      <c r="B27" s="42"/>
      <c r="C27" s="33"/>
      <c r="D27" s="30">
        <f t="shared" ref="D27:F27" si="3">D29*D28/(100%+D28)</f>
        <v>8114.7540983606559</v>
      </c>
      <c r="E27" s="30">
        <f t="shared" si="3"/>
        <v>6600</v>
      </c>
      <c r="F27" s="30">
        <f t="shared" si="3"/>
        <v>7700</v>
      </c>
      <c r="G27" s="16" t="s">
        <v>12</v>
      </c>
      <c r="H27" s="16" t="s">
        <v>12</v>
      </c>
      <c r="I27" s="7">
        <f>I29-I26</f>
        <v>7471.5833333333358</v>
      </c>
      <c r="J27" s="16" t="s">
        <v>12</v>
      </c>
      <c r="K27" s="6">
        <f>K29-K29/(100%+K28)</f>
        <v>89659.016393442638</v>
      </c>
    </row>
    <row r="28" spans="1:11" ht="36" x14ac:dyDescent="0.3">
      <c r="A28" s="3" t="s">
        <v>11</v>
      </c>
      <c r="B28" s="42"/>
      <c r="C28" s="33"/>
      <c r="D28" s="28">
        <v>0.22</v>
      </c>
      <c r="E28" s="28">
        <v>0.22</v>
      </c>
      <c r="F28" s="28">
        <v>0.22</v>
      </c>
      <c r="G28" s="16" t="s">
        <v>12</v>
      </c>
      <c r="H28" s="16" t="s">
        <v>12</v>
      </c>
      <c r="I28" s="16" t="s">
        <v>12</v>
      </c>
      <c r="J28" s="16" t="s">
        <v>12</v>
      </c>
      <c r="K28" s="8" t="s">
        <v>41</v>
      </c>
    </row>
    <row r="29" spans="1:11" ht="54" x14ac:dyDescent="0.3">
      <c r="A29" s="3" t="s">
        <v>19</v>
      </c>
      <c r="B29" s="43"/>
      <c r="C29" s="34"/>
      <c r="D29" s="31">
        <v>45000</v>
      </c>
      <c r="E29" s="31">
        <v>36600</v>
      </c>
      <c r="F29" s="31">
        <v>42700</v>
      </c>
      <c r="G29" s="9">
        <f>_xlfn.STDEV.S(D29,E29,F29)/I29*100</f>
        <v>10.476808155086216</v>
      </c>
      <c r="H29" s="15">
        <f>(MAX(D29:F29)*100/MIN(D29:F29))-100</f>
        <v>22.950819672131146</v>
      </c>
      <c r="I29" s="7">
        <f>(D29+E29+F29)/3</f>
        <v>41433.333333333336</v>
      </c>
      <c r="J29" s="23">
        <v>12</v>
      </c>
      <c r="K29" s="6">
        <f>I29*D30*J29</f>
        <v>497200</v>
      </c>
    </row>
    <row r="30" spans="1:11" ht="18" x14ac:dyDescent="0.3">
      <c r="A30" s="3" t="s">
        <v>17</v>
      </c>
      <c r="B30" s="16"/>
      <c r="C30" s="16"/>
      <c r="D30" s="38">
        <v>1</v>
      </c>
      <c r="E30" s="39"/>
      <c r="F30" s="40"/>
      <c r="G30" s="16" t="s">
        <v>12</v>
      </c>
      <c r="H30" s="16" t="s">
        <v>12</v>
      </c>
      <c r="I30" s="16" t="s">
        <v>12</v>
      </c>
      <c r="J30" s="16" t="s">
        <v>12</v>
      </c>
      <c r="K30" s="16" t="s">
        <v>12</v>
      </c>
    </row>
    <row r="31" spans="1:11" ht="54" x14ac:dyDescent="0.3">
      <c r="A31" s="3" t="s">
        <v>8</v>
      </c>
      <c r="B31" s="41" t="s">
        <v>34</v>
      </c>
      <c r="C31" s="32" t="s">
        <v>35</v>
      </c>
      <c r="D31" s="29">
        <f>D34-D32</f>
        <v>6393.4426229508199</v>
      </c>
      <c r="E31" s="29">
        <f t="shared" ref="E31" si="4">E34-E32</f>
        <v>5245.9016393442625</v>
      </c>
      <c r="F31" s="29">
        <f>F34-F32</f>
        <v>5983.6065573770493</v>
      </c>
      <c r="G31" s="16" t="s">
        <v>12</v>
      </c>
      <c r="H31" s="16" t="s">
        <v>12</v>
      </c>
      <c r="I31" s="5">
        <f>ROUND((D31+E31+F31)/3,2)</f>
        <v>5874.32</v>
      </c>
      <c r="J31" s="19" t="s">
        <v>12</v>
      </c>
      <c r="K31" s="4">
        <f>K34-K32</f>
        <v>70491.803278688531</v>
      </c>
    </row>
    <row r="32" spans="1:11" ht="54" x14ac:dyDescent="0.3">
      <c r="A32" s="3" t="s">
        <v>9</v>
      </c>
      <c r="B32" s="42"/>
      <c r="C32" s="33"/>
      <c r="D32" s="30">
        <f t="shared" ref="D32:F32" si="5">D34*D33/(100%+D33)</f>
        <v>1406.5573770491803</v>
      </c>
      <c r="E32" s="30">
        <f t="shared" si="5"/>
        <v>1154.0983606557377</v>
      </c>
      <c r="F32" s="30">
        <f t="shared" si="5"/>
        <v>1316.3934426229509</v>
      </c>
      <c r="G32" s="16" t="s">
        <v>12</v>
      </c>
      <c r="H32" s="16" t="s">
        <v>12</v>
      </c>
      <c r="I32" s="7">
        <f>I34-I31</f>
        <v>1292.3466666666673</v>
      </c>
      <c r="J32" s="16" t="s">
        <v>12</v>
      </c>
      <c r="K32" s="6">
        <f>K34-K34/(100%+K33)</f>
        <v>15508.196721311469</v>
      </c>
    </row>
    <row r="33" spans="1:12" ht="36" x14ac:dyDescent="0.3">
      <c r="A33" s="3" t="s">
        <v>11</v>
      </c>
      <c r="B33" s="42"/>
      <c r="C33" s="33"/>
      <c r="D33" s="28">
        <v>0.22</v>
      </c>
      <c r="E33" s="28">
        <v>0.22</v>
      </c>
      <c r="F33" s="28">
        <v>0.22</v>
      </c>
      <c r="G33" s="16" t="s">
        <v>12</v>
      </c>
      <c r="H33" s="16" t="s">
        <v>12</v>
      </c>
      <c r="I33" s="16" t="s">
        <v>12</v>
      </c>
      <c r="J33" s="16" t="s">
        <v>12</v>
      </c>
      <c r="K33" s="8" t="s">
        <v>41</v>
      </c>
    </row>
    <row r="34" spans="1:12" ht="54" x14ac:dyDescent="0.3">
      <c r="A34" s="3" t="s">
        <v>19</v>
      </c>
      <c r="B34" s="43"/>
      <c r="C34" s="34"/>
      <c r="D34" s="31">
        <v>7800</v>
      </c>
      <c r="E34" s="31">
        <v>6400</v>
      </c>
      <c r="F34" s="31">
        <v>7300</v>
      </c>
      <c r="G34" s="26">
        <f>_xlfn.STDEV.S(D34,E34,F34)/I34*100</f>
        <v>9.8994403040896568</v>
      </c>
      <c r="H34" s="15">
        <f>(MAX(D34:F34)*100/MIN(D34:F34))-100</f>
        <v>21.875</v>
      </c>
      <c r="I34" s="7">
        <f>(D34+E34+F34)/3</f>
        <v>7166.666666666667</v>
      </c>
      <c r="J34" s="23">
        <v>12</v>
      </c>
      <c r="K34" s="6">
        <f>ROUND(I34*D35*J34,2)</f>
        <v>86000</v>
      </c>
    </row>
    <row r="35" spans="1:12" ht="18" x14ac:dyDescent="0.3">
      <c r="A35" s="3" t="s">
        <v>17</v>
      </c>
      <c r="B35" s="16"/>
      <c r="C35" s="16"/>
      <c r="D35" s="38">
        <v>1</v>
      </c>
      <c r="E35" s="39"/>
      <c r="F35" s="40"/>
      <c r="G35" s="16" t="s">
        <v>12</v>
      </c>
      <c r="H35" s="16" t="s">
        <v>12</v>
      </c>
      <c r="I35" s="16" t="s">
        <v>12</v>
      </c>
      <c r="J35" s="16" t="s">
        <v>12</v>
      </c>
      <c r="K35" s="16" t="s">
        <v>12</v>
      </c>
    </row>
    <row r="36" spans="1:12" ht="54" x14ac:dyDescent="0.3">
      <c r="A36" s="3" t="s">
        <v>8</v>
      </c>
      <c r="B36" s="41" t="s">
        <v>36</v>
      </c>
      <c r="C36" s="32" t="s">
        <v>37</v>
      </c>
      <c r="D36" s="29">
        <f>D39-D37</f>
        <v>6557.377049180328</v>
      </c>
      <c r="E36" s="29">
        <f>E39-E37</f>
        <v>5327.8688524590161</v>
      </c>
      <c r="F36" s="29">
        <f>F39-F37</f>
        <v>5737.7049180327867</v>
      </c>
      <c r="G36" s="16" t="s">
        <v>12</v>
      </c>
      <c r="H36" s="16" t="s">
        <v>12</v>
      </c>
      <c r="I36" s="5">
        <f>ROUND((D36+E36+F36)/3,2)</f>
        <v>5874.32</v>
      </c>
      <c r="J36" s="19" t="s">
        <v>12</v>
      </c>
      <c r="K36" s="4">
        <f>K39-K37</f>
        <v>70491.803278688531</v>
      </c>
    </row>
    <row r="37" spans="1:12" ht="54" x14ac:dyDescent="0.3">
      <c r="A37" s="3" t="s">
        <v>9</v>
      </c>
      <c r="B37" s="42"/>
      <c r="C37" s="33"/>
      <c r="D37" s="30">
        <f t="shared" ref="D37:F37" si="6">D39*D38/(100%+D38)</f>
        <v>1442.6229508196723</v>
      </c>
      <c r="E37" s="30">
        <f t="shared" si="6"/>
        <v>1172.1311475409836</v>
      </c>
      <c r="F37" s="30">
        <f t="shared" si="6"/>
        <v>1262.295081967213</v>
      </c>
      <c r="G37" s="16" t="s">
        <v>12</v>
      </c>
      <c r="H37" s="16" t="s">
        <v>12</v>
      </c>
      <c r="I37" s="7">
        <f>I39-I36</f>
        <v>1292.3466666666673</v>
      </c>
      <c r="J37" s="16" t="s">
        <v>12</v>
      </c>
      <c r="K37" s="6">
        <f>K39-K39/(100%+K38)</f>
        <v>15508.196721311469</v>
      </c>
    </row>
    <row r="38" spans="1:12" ht="36" x14ac:dyDescent="0.3">
      <c r="A38" s="3" t="s">
        <v>11</v>
      </c>
      <c r="B38" s="42"/>
      <c r="C38" s="33"/>
      <c r="D38" s="28">
        <v>0.22</v>
      </c>
      <c r="E38" s="28">
        <v>0.22</v>
      </c>
      <c r="F38" s="28">
        <v>0.22</v>
      </c>
      <c r="G38" s="16" t="s">
        <v>12</v>
      </c>
      <c r="H38" s="16" t="s">
        <v>12</v>
      </c>
      <c r="I38" s="16" t="s">
        <v>12</v>
      </c>
      <c r="J38" s="16" t="s">
        <v>12</v>
      </c>
      <c r="K38" s="8" t="s">
        <v>41</v>
      </c>
    </row>
    <row r="39" spans="1:12" ht="54" x14ac:dyDescent="0.3">
      <c r="A39" s="3" t="s">
        <v>19</v>
      </c>
      <c r="B39" s="43"/>
      <c r="C39" s="34"/>
      <c r="D39" s="31">
        <v>8000</v>
      </c>
      <c r="E39" s="31">
        <v>6500</v>
      </c>
      <c r="F39" s="31">
        <v>7000</v>
      </c>
      <c r="G39" s="26">
        <f>_xlfn.STDEV.S(D39,E39,F39)/I39*100</f>
        <v>10.65715277896707</v>
      </c>
      <c r="H39" s="15">
        <f>(MAX(D39:F39)*100/MIN(D39:F39))-100</f>
        <v>23.07692307692308</v>
      </c>
      <c r="I39" s="7">
        <f>(D39+E39+F39)/3</f>
        <v>7166.666666666667</v>
      </c>
      <c r="J39" s="23">
        <v>12</v>
      </c>
      <c r="K39" s="6">
        <f>ROUND(I39*D40*J39,2)</f>
        <v>86000</v>
      </c>
    </row>
    <row r="40" spans="1:12" ht="18" x14ac:dyDescent="0.3">
      <c r="A40" s="3" t="s">
        <v>17</v>
      </c>
      <c r="B40" s="16"/>
      <c r="C40" s="16"/>
      <c r="D40" s="35">
        <v>1</v>
      </c>
      <c r="E40" s="36"/>
      <c r="F40" s="37"/>
      <c r="G40" s="16" t="s">
        <v>12</v>
      </c>
      <c r="H40" s="16" t="s">
        <v>12</v>
      </c>
      <c r="I40" s="16" t="s">
        <v>12</v>
      </c>
      <c r="J40" s="16" t="s">
        <v>12</v>
      </c>
      <c r="K40" s="16" t="s">
        <v>12</v>
      </c>
    </row>
    <row r="41" spans="1:12" s="20" customFormat="1" ht="167.45" customHeight="1" x14ac:dyDescent="0.3">
      <c r="A41" s="3" t="s">
        <v>13</v>
      </c>
      <c r="B41" s="16" t="s">
        <v>12</v>
      </c>
      <c r="C41" s="16" t="s">
        <v>12</v>
      </c>
      <c r="D41" s="16" t="s">
        <v>12</v>
      </c>
      <c r="E41" s="16" t="s">
        <v>12</v>
      </c>
      <c r="F41" s="16" t="s">
        <v>12</v>
      </c>
      <c r="G41" s="16" t="s">
        <v>12</v>
      </c>
      <c r="H41" s="16" t="s">
        <v>12</v>
      </c>
      <c r="I41" s="16" t="s">
        <v>12</v>
      </c>
      <c r="J41" s="16" t="s">
        <v>12</v>
      </c>
      <c r="K41" s="6">
        <f>K44-K42</f>
        <v>4274098.360655738</v>
      </c>
    </row>
    <row r="42" spans="1:12" s="20" customFormat="1" ht="66" customHeight="1" x14ac:dyDescent="0.3">
      <c r="A42" s="3" t="s">
        <v>9</v>
      </c>
      <c r="B42" s="16" t="s">
        <v>12</v>
      </c>
      <c r="C42" s="16" t="s">
        <v>12</v>
      </c>
      <c r="D42" s="16" t="s">
        <v>12</v>
      </c>
      <c r="E42" s="16" t="s">
        <v>12</v>
      </c>
      <c r="F42" s="16" t="s">
        <v>12</v>
      </c>
      <c r="G42" s="16" t="s">
        <v>12</v>
      </c>
      <c r="H42" s="16" t="s">
        <v>12</v>
      </c>
      <c r="I42" s="16" t="s">
        <v>12</v>
      </c>
      <c r="J42" s="16" t="s">
        <v>12</v>
      </c>
      <c r="K42" s="6">
        <f>K44-K44/(100%+K43)</f>
        <v>940301.63934426196</v>
      </c>
    </row>
    <row r="43" spans="1:12" s="20" customFormat="1" ht="50.45" customHeight="1" x14ac:dyDescent="0.3">
      <c r="A43" s="3" t="s">
        <v>11</v>
      </c>
      <c r="B43" s="16" t="s">
        <v>12</v>
      </c>
      <c r="C43" s="16" t="s">
        <v>12</v>
      </c>
      <c r="D43" s="8" t="s">
        <v>12</v>
      </c>
      <c r="E43" s="8" t="s">
        <v>12</v>
      </c>
      <c r="F43" s="8" t="s">
        <v>12</v>
      </c>
      <c r="G43" s="16" t="s">
        <v>12</v>
      </c>
      <c r="H43" s="16" t="s">
        <v>12</v>
      </c>
      <c r="I43" s="16" t="s">
        <v>12</v>
      </c>
      <c r="J43" s="16" t="s">
        <v>12</v>
      </c>
      <c r="K43" s="8" t="s">
        <v>41</v>
      </c>
    </row>
    <row r="44" spans="1:12" s="20" customFormat="1" ht="144" x14ac:dyDescent="0.3">
      <c r="A44" s="3" t="s">
        <v>18</v>
      </c>
      <c r="B44" s="16" t="s">
        <v>12</v>
      </c>
      <c r="C44" s="16" t="s">
        <v>12</v>
      </c>
      <c r="D44" s="16" t="s">
        <v>12</v>
      </c>
      <c r="E44" s="16" t="s">
        <v>12</v>
      </c>
      <c r="F44" s="16" t="s">
        <v>12</v>
      </c>
      <c r="G44" s="16" t="s">
        <v>12</v>
      </c>
      <c r="H44" s="16" t="s">
        <v>12</v>
      </c>
      <c r="I44" s="16" t="s">
        <v>12</v>
      </c>
      <c r="J44" s="16" t="s">
        <v>12</v>
      </c>
      <c r="K44" s="6">
        <f>SUMIF(A14:A46,"Цена за единицу работы, услуги с учетом налога на добавленную стоимость",K14:K46)</f>
        <v>5214400</v>
      </c>
    </row>
    <row r="45" spans="1:12" ht="30" customHeight="1" x14ac:dyDescent="0.3">
      <c r="A45" s="21" t="s">
        <v>5</v>
      </c>
      <c r="B45" s="10" t="s">
        <v>12</v>
      </c>
      <c r="C45" s="10" t="s">
        <v>12</v>
      </c>
      <c r="D45" s="24">
        <v>45961</v>
      </c>
      <c r="E45" s="24">
        <v>45946</v>
      </c>
      <c r="F45" s="24">
        <v>45961</v>
      </c>
      <c r="G45" s="16" t="s">
        <v>12</v>
      </c>
      <c r="H45" s="16" t="s">
        <v>12</v>
      </c>
      <c r="I45" s="5" t="s">
        <v>12</v>
      </c>
      <c r="J45" s="22" t="s">
        <v>12</v>
      </c>
      <c r="K45" s="16" t="s">
        <v>12</v>
      </c>
    </row>
    <row r="46" spans="1:12" ht="33" customHeight="1" x14ac:dyDescent="0.3">
      <c r="A46" s="21" t="s">
        <v>6</v>
      </c>
      <c r="B46" s="16" t="s">
        <v>12</v>
      </c>
      <c r="C46" s="16" t="s">
        <v>12</v>
      </c>
      <c r="D46" s="25" t="s">
        <v>38</v>
      </c>
      <c r="E46" s="25" t="s">
        <v>38</v>
      </c>
      <c r="F46" s="25" t="s">
        <v>38</v>
      </c>
      <c r="G46" s="16" t="s">
        <v>12</v>
      </c>
      <c r="H46" s="16" t="s">
        <v>12</v>
      </c>
      <c r="I46" s="16" t="s">
        <v>12</v>
      </c>
      <c r="J46" s="16" t="s">
        <v>12</v>
      </c>
      <c r="K46" s="16" t="s">
        <v>12</v>
      </c>
    </row>
    <row r="47" spans="1:12" ht="40.5" customHeight="1" x14ac:dyDescent="0.3">
      <c r="A47" s="49" t="s">
        <v>44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2"/>
    </row>
    <row r="48" spans="1:12" ht="36.700000000000003" customHeight="1" x14ac:dyDescent="0.35">
      <c r="A48" s="47" t="s">
        <v>39</v>
      </c>
      <c r="B48" s="47"/>
      <c r="C48" s="47"/>
      <c r="D48" s="47"/>
      <c r="E48" s="47"/>
      <c r="F48" s="47"/>
      <c r="G48" s="47"/>
      <c r="H48" s="48"/>
      <c r="I48" s="48"/>
      <c r="J48" s="50" t="s">
        <v>40</v>
      </c>
      <c r="K48" s="50"/>
    </row>
    <row r="49" spans="1:11" ht="27.95" customHeight="1" x14ac:dyDescent="0.35">
      <c r="A49" s="46" t="s">
        <v>43</v>
      </c>
      <c r="B49" s="46"/>
      <c r="C49" s="46"/>
      <c r="D49" s="46"/>
      <c r="E49" s="46"/>
      <c r="F49" s="46"/>
      <c r="G49" s="46"/>
      <c r="H49" s="11"/>
      <c r="I49" s="11"/>
      <c r="J49" s="12"/>
      <c r="K49" s="12"/>
    </row>
    <row r="51" spans="1:11" x14ac:dyDescent="0.3">
      <c r="A51" s="13"/>
      <c r="D51" s="27"/>
    </row>
  </sheetData>
  <mergeCells count="39">
    <mergeCell ref="G1:K1"/>
    <mergeCell ref="A2:K2"/>
    <mergeCell ref="B11:B14"/>
    <mergeCell ref="D15:F15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6:C9"/>
    <mergeCell ref="I7:I9"/>
    <mergeCell ref="J6:J9"/>
    <mergeCell ref="C11:C14"/>
    <mergeCell ref="D20:F20"/>
    <mergeCell ref="G8:G9"/>
    <mergeCell ref="H8:H9"/>
    <mergeCell ref="A49:G49"/>
    <mergeCell ref="A48:G48"/>
    <mergeCell ref="H48:I48"/>
    <mergeCell ref="A47:K47"/>
    <mergeCell ref="J48:K48"/>
    <mergeCell ref="B16:B19"/>
    <mergeCell ref="B21:B24"/>
    <mergeCell ref="D25:F25"/>
    <mergeCell ref="B26:B29"/>
    <mergeCell ref="D30:F30"/>
    <mergeCell ref="C26:C29"/>
    <mergeCell ref="C16:C19"/>
    <mergeCell ref="C21:C24"/>
    <mergeCell ref="D40:F40"/>
    <mergeCell ref="C31:C34"/>
    <mergeCell ref="D35:F35"/>
    <mergeCell ref="B36:B39"/>
    <mergeCell ref="C36:C39"/>
    <mergeCell ref="B31:B34"/>
  </mergeCells>
  <pageMargins left="0.25" right="0.25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Анатолий Головастов</cp:lastModifiedBy>
  <cp:lastPrinted>2026-01-16T10:48:26Z</cp:lastPrinted>
  <dcterms:created xsi:type="dcterms:W3CDTF">2015-08-07T14:00:00Z</dcterms:created>
  <dcterms:modified xsi:type="dcterms:W3CDTF">2026-01-16T11:50:24Z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